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jc</author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Heure décimale H ligne 4
</t>
        </r>
      </text>
    </comment>
    <comment ref="E7" authorId="0">
      <text>
        <r>
          <rPr>
            <b/>
            <sz val="8"/>
            <color indexed="8"/>
            <rFont val="Times New Roman"/>
            <family val="1"/>
          </rPr>
          <t>B ligne 9
nbre de jours</t>
        </r>
      </text>
    </comment>
    <comment ref="F7" authorId="0">
      <text>
        <r>
          <rPr>
            <b/>
            <sz val="8"/>
            <color indexed="8"/>
            <rFont val="Times New Roman"/>
            <family val="1"/>
          </rPr>
          <t>mois corrigé pour mars</t>
        </r>
      </text>
    </comment>
    <comment ref="G7" authorId="0">
      <text>
        <r>
          <rPr>
            <b/>
            <sz val="8"/>
            <color indexed="8"/>
            <rFont val="Times New Roman"/>
            <family val="1"/>
          </rPr>
          <t>année corrigée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 xml:space="preserve">G ligne 10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>N ligne 21</t>
        </r>
      </text>
    </comment>
    <comment ref="D8" authorId="0">
      <text>
        <r>
          <rPr>
            <b/>
            <sz val="8"/>
            <color indexed="8"/>
            <rFont val="Times New Roman"/>
            <family val="1"/>
          </rPr>
          <t>D ligne 32=déclinaison</t>
        </r>
      </text>
    </comment>
    <comment ref="B9" authorId="0">
      <text>
        <r>
          <rPr>
            <b/>
            <sz val="8"/>
            <color indexed="8"/>
            <rFont val="Times New Roman"/>
            <family val="1"/>
          </rPr>
          <t>J ligne 11
nbre jours associés</t>
        </r>
      </text>
    </comment>
    <comment ref="C9" authorId="0">
      <text>
        <r>
          <rPr>
            <b/>
            <sz val="8"/>
            <color indexed="8"/>
            <rFont val="Times New Roman"/>
            <family val="1"/>
          </rPr>
          <t>P ligne22</t>
        </r>
      </text>
    </comment>
    <comment ref="D9" authorId="0">
      <text>
        <r>
          <rPr>
            <b/>
            <sz val="8"/>
            <color indexed="8"/>
            <rFont val="Times New Roman"/>
            <family val="1"/>
          </rPr>
          <t>A ligne34</t>
        </r>
      </text>
    </comment>
    <comment ref="E9" authorId="0">
      <text>
        <r>
          <rPr>
            <b/>
            <sz val="8"/>
            <color indexed="8"/>
            <rFont val="Times New Roman"/>
            <family val="1"/>
          </rPr>
          <t>P ligne22 pour
comparaison</t>
        </r>
      </text>
    </comment>
    <comment ref="B10" authorId="0">
      <text>
        <r>
          <rPr>
            <sz val="8"/>
            <color indexed="8"/>
            <rFont val="Times New Roman"/>
            <family val="1"/>
          </rPr>
          <t>T ligne 13; position
angulaire du Soleil
en siècle depuis le 
1/01/2000 à 12:00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C ligne23</t>
        </r>
      </text>
    </comment>
    <comment ref="D10" authorId="0">
      <text>
        <r>
          <rPr>
            <b/>
            <sz val="8"/>
            <color indexed="8"/>
            <rFont val="Times New Roman"/>
            <family val="1"/>
          </rPr>
          <t>A ligne 35</t>
        </r>
      </text>
    </comment>
    <comment ref="E10" authorId="0">
      <text>
        <r>
          <rPr>
            <b/>
            <sz val="8"/>
            <color indexed="8"/>
            <rFont val="Times New Roman"/>
            <family val="1"/>
          </rPr>
          <t>T ligne13 non modifié
pour comparaison</t>
        </r>
      </text>
    </comment>
    <comment ref="F10" authorId="0">
      <text>
        <r>
          <rPr>
            <b/>
            <sz val="8"/>
            <color indexed="8"/>
            <rFont val="Times New Roman"/>
            <family val="1"/>
          </rPr>
          <t>B ligne 9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>S ligne 14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>V ligne24</t>
        </r>
      </text>
    </comment>
    <comment ref="D11" authorId="0">
      <text>
        <r>
          <rPr>
            <b/>
            <sz val="8"/>
            <color indexed="8"/>
            <rFont val="Times New Roman"/>
            <family val="1"/>
          </rPr>
          <t>A ligne 36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>G ligne 10</t>
        </r>
      </text>
    </comment>
    <comment ref="B12" authorId="0">
      <text>
        <r>
          <rPr>
            <b/>
            <sz val="8"/>
            <color indexed="8"/>
            <rFont val="Times New Roman"/>
            <family val="1"/>
          </rPr>
          <t>R ligne 15; position corrigée du  Soleil en siècle. Origine 1/1/2000 12:00:00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>E ligne 25</t>
        </r>
      </text>
    </comment>
    <comment ref="D12" authorId="0">
      <text>
        <r>
          <rPr>
            <b/>
            <sz val="8"/>
            <color indexed="8"/>
            <rFont val="Times New Roman"/>
            <family val="1"/>
          </rPr>
          <t>I ligne 38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>J ligne 11</t>
        </r>
      </text>
    </comment>
    <comment ref="B13" authorId="0">
      <text>
        <r>
          <rPr>
            <b/>
            <sz val="8"/>
            <color indexed="8"/>
            <rFont val="Times New Roman"/>
            <family val="1"/>
          </rPr>
          <t>K ligne16</t>
        </r>
      </text>
    </comment>
    <comment ref="C13" authorId="0">
      <text>
        <r>
          <rPr>
            <b/>
            <sz val="8"/>
            <color indexed="8"/>
            <rFont val="Times New Roman"/>
            <family val="1"/>
          </rPr>
          <t>B ligne 20</t>
        </r>
      </text>
    </comment>
    <comment ref="D13" authorId="0">
      <text>
        <r>
          <rPr>
            <b/>
            <sz val="8"/>
            <color indexed="8"/>
            <rFont val="Times New Roman"/>
            <family val="1"/>
          </rPr>
          <t>K ligne 39</t>
        </r>
      </text>
    </comment>
    <comment ref="F13" authorId="0">
      <text>
        <r>
          <rPr>
            <b/>
            <sz val="8"/>
            <color indexed="8"/>
            <rFont val="Times New Roman"/>
            <family val="1"/>
          </rPr>
          <t>A ligne 12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>L ligne 17
en °</t>
        </r>
      </text>
    </comment>
    <comment ref="C14" authorId="0">
      <text>
        <r>
          <rPr>
            <b/>
            <sz val="8"/>
            <color indexed="8"/>
            <rFont val="Times New Roman"/>
            <family val="1"/>
          </rPr>
          <t>N ligne 26</t>
        </r>
      </text>
    </comment>
    <comment ref="D14" authorId="0">
      <text>
        <r>
          <rPr>
            <b/>
            <sz val="8"/>
            <color indexed="8"/>
            <rFont val="Times New Roman"/>
            <family val="1"/>
          </rPr>
          <t>X ligne 41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>V ligne18</t>
        </r>
      </text>
    </comment>
    <comment ref="C15" authorId="0">
      <text>
        <r>
          <rPr>
            <b/>
            <sz val="8"/>
            <color indexed="8"/>
            <rFont val="Times New Roman"/>
            <family val="1"/>
          </rPr>
          <t>Q ligne27</t>
        </r>
      </text>
    </comment>
    <comment ref="D15" authorId="0">
      <text>
        <r>
          <rPr>
            <b/>
            <sz val="8"/>
            <color indexed="8"/>
            <rFont val="Times New Roman"/>
            <family val="1"/>
          </rPr>
          <t>X ligne 42</t>
        </r>
      </text>
    </comment>
    <comment ref="B16" authorId="0">
      <text>
        <r>
          <rPr>
            <b/>
            <sz val="8"/>
            <color indexed="8"/>
            <rFont val="Times New Roman"/>
            <family val="1"/>
          </rPr>
          <t>G ligne19 en °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>P ligne28</t>
        </r>
      </text>
    </comment>
    <comment ref="D16" authorId="0">
      <text>
        <r>
          <rPr>
            <b/>
            <sz val="8"/>
            <color indexed="8"/>
            <rFont val="Times New Roman"/>
            <family val="1"/>
          </rPr>
          <t>X ligne 43
AHvP décimal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>S lg 37</t>
        </r>
      </text>
    </comment>
    <comment ref="B19" authorId="0">
      <text>
        <r>
          <rPr>
            <b/>
            <sz val="8"/>
            <color indexed="8"/>
            <rFont val="Times New Roman"/>
            <family val="1"/>
          </rPr>
          <t>déclinaison décimale
en C8</t>
        </r>
      </text>
    </comment>
    <comment ref="D19" authorId="0">
      <text>
        <r>
          <rPr>
            <b/>
            <sz val="8"/>
            <color indexed="8"/>
            <rFont val="Times New Roman"/>
            <family val="1"/>
          </rPr>
          <t>angle décimal en C16</t>
        </r>
      </text>
    </comment>
    <comment ref="B24" authorId="0">
      <text>
        <r>
          <rPr>
            <b/>
            <sz val="8"/>
            <color indexed="8"/>
            <rFont val="Times New Roman"/>
            <family val="1"/>
          </rPr>
          <t>Latitude décimale
Z ligne 50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>Longitude décimale
W ligne 51</t>
        </r>
      </text>
    </comment>
    <comment ref="D26" authorId="0">
      <text>
        <r>
          <rPr>
            <b/>
            <sz val="8"/>
            <color indexed="8"/>
            <rFont val="Times New Roman"/>
            <family val="1"/>
          </rPr>
          <t>Y ligne52</t>
        </r>
      </text>
    </comment>
    <comment ref="F26" authorId="0">
      <text>
        <r>
          <rPr>
            <b/>
            <sz val="8"/>
            <color indexed="8"/>
            <rFont val="Times New Roman"/>
            <family val="1"/>
          </rPr>
          <t>H ligne 60</t>
        </r>
      </text>
    </comment>
    <comment ref="B32" authorId="0">
      <text>
        <r>
          <rPr>
            <b/>
            <sz val="8"/>
            <color indexed="8"/>
            <rFont val="Times New Roman"/>
            <family val="1"/>
          </rPr>
          <t>A ligne56
Ho</t>
        </r>
      </text>
    </comment>
    <comment ref="C32" authorId="0">
      <text>
        <r>
          <rPr>
            <b/>
            <sz val="8"/>
            <color indexed="8"/>
            <rFont val="Times New Roman"/>
            <family val="1"/>
          </rPr>
          <t>hauteur corrigée de la hauteur de l'œil
F ligne57</t>
        </r>
      </text>
    </comment>
    <comment ref="F32" authorId="0">
      <text>
        <r>
          <rPr>
            <b/>
            <sz val="8"/>
            <color indexed="8"/>
            <rFont val="Times New Roman"/>
            <family val="1"/>
          </rPr>
          <t>hauteur corrigée  de :
la hauteur de l'œil,
la réfraction,
le demi diamètre,
la dépression,
U ligne 59</t>
        </r>
      </text>
    </comment>
    <comment ref="B33" authorId="0">
      <text>
        <r>
          <rPr>
            <b/>
            <sz val="8"/>
            <color indexed="8"/>
            <rFont val="Times New Roman"/>
            <family val="1"/>
          </rPr>
          <t>- Azimut décimal 
par arc sin
A ligne64</t>
        </r>
      </text>
    </comment>
    <comment ref="C33" authorId="0">
      <text>
        <r>
          <rPr>
            <b/>
            <sz val="8"/>
            <color indexed="8"/>
            <rFont val="Times New Roman"/>
            <family val="1"/>
          </rPr>
          <t>Azimut décimal par
arc sinus, corrigé
pour Nord/Sud</t>
        </r>
      </text>
    </comment>
    <comment ref="D33" authorId="0">
      <text>
        <r>
          <rPr>
            <b/>
            <sz val="8"/>
            <color indexed="8"/>
            <rFont val="Times New Roman"/>
            <family val="1"/>
          </rPr>
          <t>azimut décimal
par arc cosinus</t>
        </r>
      </text>
    </comment>
    <comment ref="E33" authorId="0">
      <text>
        <r>
          <rPr>
            <sz val="8"/>
            <color indexed="8"/>
            <rFont val="Times New Roman"/>
            <family val="1"/>
          </rPr>
          <t xml:space="preserve">Azimut décimal corrigé
pour AM/PM
</t>
        </r>
      </text>
    </comment>
    <comment ref="F33" authorId="0">
      <text>
        <r>
          <rPr>
            <b/>
            <sz val="8"/>
            <color indexed="8"/>
            <rFont val="Times New Roman"/>
            <family val="1"/>
          </rPr>
          <t>Intercept décimal</t>
        </r>
      </text>
    </comment>
    <comment ref="G33" authorId="0">
      <text>
        <r>
          <rPr>
            <b/>
            <sz val="8"/>
            <color indexed="8"/>
            <rFont val="Times New Roman"/>
            <family val="1"/>
          </rPr>
          <t>Intercept I ligne 60</t>
        </r>
      </text>
    </comment>
    <comment ref="B35" authorId="0">
      <text>
        <r>
          <rPr>
            <b/>
            <sz val="8"/>
            <color indexed="8"/>
            <rFont val="Times New Roman"/>
            <family val="1"/>
          </rPr>
          <t>A ligne 65</t>
        </r>
      </text>
    </comment>
    <comment ref="C35" authorId="0">
      <text>
        <r>
          <rPr>
            <b/>
            <sz val="8"/>
            <color indexed="8"/>
            <rFont val="Times New Roman"/>
            <family val="1"/>
          </rPr>
          <t>Azimut si AM</t>
        </r>
      </text>
    </comment>
    <comment ref="D35" authorId="0">
      <text>
        <r>
          <rPr>
            <sz val="8"/>
            <color indexed="8"/>
            <rFont val="Times New Roman"/>
            <family val="1"/>
          </rPr>
          <t xml:space="preserve">Azimut si PM
</t>
        </r>
      </text>
    </comment>
    <comment ref="D38" authorId="0">
      <text>
        <r>
          <rPr>
            <b/>
            <sz val="8"/>
            <color indexed="8"/>
            <rFont val="Times New Roman"/>
            <family val="1"/>
          </rPr>
          <t>degrés</t>
        </r>
      </text>
    </comment>
    <comment ref="E38" authorId="0">
      <text>
        <r>
          <rPr>
            <b/>
            <sz val="8"/>
            <color indexed="8"/>
            <rFont val="Times New Roman"/>
            <family val="1"/>
          </rPr>
          <t>minutes</t>
        </r>
      </text>
    </comment>
    <comment ref="D42" authorId="0">
      <text>
        <r>
          <rPr>
            <b/>
            <sz val="8"/>
            <color indexed="8"/>
            <rFont val="Times New Roman"/>
            <family val="1"/>
          </rPr>
          <t>Correction de l'estimée avec l'intercept</t>
        </r>
      </text>
    </comment>
    <comment ref="F42" authorId="0">
      <text>
        <r>
          <rPr>
            <b/>
            <sz val="8"/>
            <color indexed="8"/>
            <rFont val="Times New Roman"/>
            <family val="1"/>
          </rPr>
          <t>Correction de l'estimée avec l'intercept</t>
        </r>
      </text>
    </comment>
    <comment ref="B43" authorId="0">
      <text>
        <r>
          <rPr>
            <b/>
            <sz val="8"/>
            <color indexed="8"/>
            <rFont val="Times New Roman"/>
            <family val="1"/>
          </rPr>
          <t>Latitude décimale</t>
        </r>
      </text>
    </comment>
    <comment ref="D43" authorId="0">
      <text>
        <r>
          <rPr>
            <b/>
            <sz val="8"/>
            <color indexed="8"/>
            <rFont val="Times New Roman"/>
            <family val="1"/>
          </rPr>
          <t>Longitude décimale</t>
        </r>
      </text>
    </comment>
  </commentList>
</comments>
</file>

<file path=xl/sharedStrings.xml><?xml version="1.0" encoding="utf-8"?>
<sst xmlns="http://schemas.openxmlformats.org/spreadsheetml/2006/main" count="40" uniqueCount="38">
  <si>
    <t xml:space="preserve">                Le Point Astronomique</t>
  </si>
  <si>
    <t xml:space="preserve">                             Droite de hauteur</t>
  </si>
  <si>
    <t>Instant des mesures (en UTC)</t>
  </si>
  <si>
    <t>date</t>
  </si>
  <si>
    <t>heure</t>
  </si>
  <si>
    <t>minutes</t>
  </si>
  <si>
    <t>secondes</t>
  </si>
  <si>
    <t>jour</t>
  </si>
  <si>
    <t>mois</t>
  </si>
  <si>
    <t>année (20..)</t>
  </si>
  <si>
    <t>40314T52</t>
  </si>
  <si>
    <t>Déclinaison :</t>
  </si>
  <si>
    <t>AHvP :</t>
  </si>
  <si>
    <t>Position Estimée</t>
  </si>
  <si>
    <t>° Latitude</t>
  </si>
  <si>
    <t>minutes L</t>
  </si>
  <si>
    <t>° lonGitude</t>
  </si>
  <si>
    <t>minutes G</t>
  </si>
  <si>
    <t>(&lt;= attention !!!  valeurs</t>
  </si>
  <si>
    <t>négatives si   G  est "Est")</t>
  </si>
  <si>
    <t>(attention !!!  valeurs</t>
  </si>
  <si>
    <t>AhvG (LHA) :</t>
  </si>
  <si>
    <t>Hauteur estimée (He)</t>
  </si>
  <si>
    <t xml:space="preserve"> négatives si  L est "Sud")</t>
  </si>
  <si>
    <t>hauteur lue au sextant :</t>
  </si>
  <si>
    <t>degrés</t>
  </si>
  <si>
    <t>hauteur œil :</t>
  </si>
  <si>
    <t>Hauteur vraie (Hv)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</si>
  <si>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</si>
  <si>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AM = 1</t>
  </si>
  <si>
    <t>PM = 2</t>
  </si>
  <si>
    <t>Intercept :</t>
  </si>
  <si>
    <t>aZimut :</t>
  </si>
  <si>
    <t>SIN Z</t>
  </si>
  <si>
    <t>Milles</t>
  </si>
  <si>
    <t>soit:</t>
  </si>
  <si>
    <t>Point</t>
  </si>
  <si>
    <t>déterminatif: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</si>
</sst>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 &quot;_€_-;_-@_-"/>
    <numFmt numFmtId="165" formatCode="_-* #,##0.00\ _€_-;\-* #,##0.00\ _€_-;_-* \-??\ _€_-;_-@_-"/>
    <numFmt numFmtId="166" formatCode="_-* #,##0&quot; €&quot;_-;\-* #,##0&quot; €&quot;_-;_-* &quot;- €&quot;_-;_-@_-"/>
    <numFmt numFmtId="167" formatCode="_-* #,##0.00&quot; €&quot;_-;\-* #,##0.00&quot; €&quot;_-;_-* \-??&quot; €&quot;_-;_-@_-"/>
    <numFmt numFmtId="168" formatCode="dd/mm/yyyy\ hh:mm:ss"/>
    <numFmt numFmtId="169" formatCode="0.0000000"/>
    <numFmt numFmtId="170" formatCode="dd/mm/yy"/>
    <numFmt numFmtId="171" formatCode="d/m/yy\ h:mm"/>
    <numFmt numFmtId="172" formatCode="00.00\'"/>
    <numFmt numFmtId="173" formatCode="0\°"/>
    <numFmt numFmtId="174" formatCode="0.0\m"/>
    <numFmt numFmtId="175" formatCode="0.0"/>
  </numFmts>
  <fonts count="22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2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2" borderId="7" xfId="0" applyFont="1" applyFill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/>
      <protection locked="0"/>
    </xf>
    <xf numFmtId="0" fontId="3" fillId="2" borderId="9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/>
      <protection locked="0"/>
    </xf>
    <xf numFmtId="0" fontId="5" fillId="2" borderId="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Border="1" applyAlignment="1">
      <alignment horizontal="left"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/>
    </xf>
    <xf numFmtId="173" fontId="10" fillId="0" borderId="10" xfId="0" applyNumberFormat="1" applyFont="1" applyBorder="1" applyAlignment="1">
      <alignment/>
    </xf>
    <xf numFmtId="172" fontId="10" fillId="0" borderId="11" xfId="0" applyNumberFormat="1" applyFont="1" applyBorder="1" applyAlignment="1">
      <alignment horizontal="left"/>
    </xf>
    <xf numFmtId="173" fontId="10" fillId="0" borderId="11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4" xfId="0" applyBorder="1" applyAlignment="1">
      <alignment/>
    </xf>
    <xf numFmtId="173" fontId="3" fillId="2" borderId="16" xfId="0" applyNumberFormat="1" applyFont="1" applyFill="1" applyBorder="1" applyAlignment="1" applyProtection="1">
      <alignment/>
      <protection locked="0"/>
    </xf>
    <xf numFmtId="172" fontId="3" fillId="2" borderId="17" xfId="0" applyNumberFormat="1" applyFont="1" applyFill="1" applyBorder="1" applyAlignment="1" applyProtection="1">
      <alignment horizontal="left"/>
      <protection locked="0"/>
    </xf>
    <xf numFmtId="173" fontId="3" fillId="2" borderId="4" xfId="0" applyNumberFormat="1" applyFont="1" applyFill="1" applyBorder="1" applyAlignment="1" applyProtection="1">
      <alignment/>
      <protection locked="0"/>
    </xf>
    <xf numFmtId="172" fontId="3" fillId="2" borderId="6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2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2" xfId="0" applyFont="1" applyBorder="1" applyAlignment="1">
      <alignment/>
    </xf>
    <xf numFmtId="172" fontId="10" fillId="0" borderId="12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173" fontId="3" fillId="2" borderId="10" xfId="0" applyNumberFormat="1" applyFont="1" applyFill="1" applyBorder="1" applyAlignment="1" applyProtection="1">
      <alignment/>
      <protection locked="0"/>
    </xf>
    <xf numFmtId="172" fontId="3" fillId="2" borderId="11" xfId="0" applyNumberFormat="1" applyFont="1" applyFill="1" applyBorder="1" applyAlignment="1" applyProtection="1">
      <alignment horizontal="left"/>
      <protection locked="0"/>
    </xf>
    <xf numFmtId="174" fontId="3" fillId="2" borderId="10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4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5" borderId="0" xfId="0" applyFill="1" applyBorder="1" applyAlignment="1">
      <alignment/>
    </xf>
    <xf numFmtId="0" fontId="14" fillId="6" borderId="0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6" fillId="0" borderId="16" xfId="0" applyFont="1" applyBorder="1" applyAlignment="1">
      <alignment/>
    </xf>
    <xf numFmtId="173" fontId="17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 horizontal="left"/>
    </xf>
    <xf numFmtId="175" fontId="18" fillId="8" borderId="21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8" fillId="8" borderId="21" xfId="0" applyFont="1" applyFill="1" applyBorder="1" applyAlignment="1">
      <alignment/>
    </xf>
    <xf numFmtId="0" fontId="20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16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173" fontId="11" fillId="0" borderId="11" xfId="0" applyNumberFormat="1" applyFont="1" applyBorder="1" applyAlignment="1">
      <alignment/>
    </xf>
    <xf numFmtId="172" fontId="14" fillId="0" borderId="22" xfId="0" applyNumberFormat="1" applyFont="1" applyBorder="1" applyAlignment="1">
      <alignment horizontal="left"/>
    </xf>
    <xf numFmtId="172" fontId="14" fillId="0" borderId="12" xfId="0" applyNumberFormat="1" applyFont="1" applyBorder="1" applyAlignment="1">
      <alignment horizontal="left"/>
    </xf>
    <xf numFmtId="0" fontId="0" fillId="3" borderId="23" xfId="0" applyFill="1" applyBorder="1" applyAlignment="1">
      <alignment/>
    </xf>
    <xf numFmtId="0" fontId="0" fillId="0" borderId="22" xfId="0" applyBorder="1" applyAlignment="1">
      <alignment/>
    </xf>
    <xf numFmtId="0" fontId="0" fillId="3" borderId="11" xfId="0" applyFill="1" applyBorder="1" applyAlignment="1">
      <alignment/>
    </xf>
    <xf numFmtId="0" fontId="21" fillId="0" borderId="0" xfId="0" applyFont="1" applyFill="1" applyAlignment="1">
      <alignment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1" fontId="11" fillId="0" borderId="1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6</xdr:col>
      <xdr:colOff>9525</xdr:colOff>
      <xdr:row>47</xdr:row>
      <xdr:rowOff>142875</xdr:rowOff>
    </xdr:to>
    <xdr:sp fLocksText="0">
      <xdr:nvSpPr>
        <xdr:cNvPr id="1" name="TextBox 63"/>
        <xdr:cNvSpPr txBox="1">
          <a:spLocks noChangeArrowheads="1"/>
        </xdr:cNvSpPr>
      </xdr:nvSpPr>
      <xdr:spPr>
        <a:xfrm>
          <a:off x="762000" y="4991100"/>
          <a:ext cx="3152775" cy="628650"/>
        </a:xfrm>
        <a:prstGeom prst="rect">
          <a:avLst/>
        </a:prstGeom>
        <a:solidFill>
          <a:srgbClr val="FFFFFF"/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NOTA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Un intercept &gt; 30 NM est invalide (INV.). Dans ce cas, remplacer la position estimée par les valeurs invalides du point déterminatif.</a:t>
          </a:r>
        </a:p>
      </xdr:txBody>
    </xdr:sp>
    <xdr:clientData/>
  </xdr:twoCellAnchor>
  <xdr:twoCellAnchor>
    <xdr:from>
      <xdr:col>1</xdr:col>
      <xdr:colOff>19050</xdr:colOff>
      <xdr:row>49</xdr:row>
      <xdr:rowOff>9525</xdr:rowOff>
    </xdr:from>
    <xdr:to>
      <xdr:col>5</xdr:col>
      <xdr:colOff>561975</xdr:colOff>
      <xdr:row>57</xdr:row>
      <xdr:rowOff>123825</xdr:rowOff>
    </xdr:to>
    <xdr:sp fLocksText="0">
      <xdr:nvSpPr>
        <xdr:cNvPr id="2" name="TextBox 64"/>
        <xdr:cNvSpPr txBox="1">
          <a:spLocks noChangeArrowheads="1"/>
        </xdr:cNvSpPr>
      </xdr:nvSpPr>
      <xdr:spPr>
        <a:xfrm>
          <a:off x="781050" y="5810250"/>
          <a:ext cx="3114675" cy="140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Compléter les zones sur fond vert pâle
1 - instant
2 - date
3 - position estimée (Latitude - lonGitude)
4 - hauteur lue sur le sextant
On lit dans le cadre ci-contre
l'intercept, l'aZimut et le point déterminatif.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20">
      <selection activeCell="F49" sqref="F49"/>
    </sheetView>
  </sheetViews>
  <sheetFormatPr defaultColWidth="11.421875" defaultRowHeight="12.75"/>
  <cols>
    <col min="2" max="2" width="9.57421875" style="0" customWidth="1"/>
    <col min="3" max="3" width="9.8515625" style="0" customWidth="1"/>
    <col min="4" max="4" width="9.7109375" style="0" customWidth="1"/>
    <col min="5" max="5" width="9.421875" style="0" customWidth="1"/>
    <col min="6" max="6" width="8.57421875" style="0" customWidth="1"/>
    <col min="7" max="7" width="12.00390625" style="0" customWidth="1"/>
    <col min="9" max="9" width="18.7109375" style="0" customWidth="1"/>
  </cols>
  <sheetData>
    <row r="1" ht="18">
      <c r="B1" s="1" t="s">
        <v>0</v>
      </c>
    </row>
    <row r="2" spans="2:7" ht="15">
      <c r="B2" s="2" t="s">
        <v>1</v>
      </c>
      <c r="D2" s="3"/>
      <c r="E2" s="3"/>
      <c r="F2" s="3"/>
      <c r="G2" s="3"/>
    </row>
    <row r="3" ht="12.75" customHeight="1"/>
    <row r="4" spans="2:7" ht="12.75" customHeight="1">
      <c r="B4" s="4" t="s">
        <v>2</v>
      </c>
      <c r="C4" s="5"/>
      <c r="D4" s="6"/>
      <c r="E4" s="7" t="s">
        <v>3</v>
      </c>
      <c r="F4" s="5"/>
      <c r="G4" s="6"/>
    </row>
    <row r="5" spans="2:7" ht="12.75" customHeight="1">
      <c r="B5" s="8" t="s">
        <v>4</v>
      </c>
      <c r="C5" s="9" t="s">
        <v>5</v>
      </c>
      <c r="D5" s="10" t="s">
        <v>6</v>
      </c>
      <c r="E5" s="8" t="s">
        <v>7</v>
      </c>
      <c r="F5" s="9" t="s">
        <v>8</v>
      </c>
      <c r="G5" s="10" t="s">
        <v>9</v>
      </c>
    </row>
    <row r="6" spans="2:7" ht="12.75" customHeight="1">
      <c r="B6" s="11">
        <v>22</v>
      </c>
      <c r="C6" s="12">
        <v>26</v>
      </c>
      <c r="D6" s="13">
        <v>18</v>
      </c>
      <c r="E6" s="14">
        <v>29</v>
      </c>
      <c r="F6" s="15">
        <v>2</v>
      </c>
      <c r="G6" s="16">
        <v>2002</v>
      </c>
    </row>
    <row r="7" spans="2:7" ht="12.75" customHeight="1" hidden="1">
      <c r="B7" s="17">
        <f>B6+C6/60+D6/3600</f>
        <v>22.438333333333333</v>
      </c>
      <c r="C7" s="17"/>
      <c r="D7" s="17"/>
      <c r="E7" s="17">
        <f>TRUNC(365.25*G7)+TRUNC(30.6*F7+0.5)+E6</f>
        <v>731231</v>
      </c>
      <c r="F7" s="17">
        <f>IF(F6&gt;2,F6-3,F6+9)</f>
        <v>11</v>
      </c>
      <c r="G7" s="17">
        <f>IF(F6&gt;2,G6,G6-1)</f>
        <v>2001</v>
      </c>
    </row>
    <row r="8" spans="2:7" ht="12.75" customHeight="1" hidden="1">
      <c r="B8" s="17">
        <f>TRUNC(0.75*TRUNC(49+G7/100))</f>
        <v>51</v>
      </c>
      <c r="C8" s="17">
        <f>(1.9146-484*10^-5*B12-14*10^-6*B12^2)*SIN(RADIANS(B16))</f>
        <v>1.5979805763695767</v>
      </c>
      <c r="D8" s="18">
        <f>DEGREES(ASIN(SIN(RADIANS(C14))*SIN(RADIANS(C16))))</f>
        <v>-7.385079131330425</v>
      </c>
      <c r="E8" s="17"/>
      <c r="F8" s="17"/>
      <c r="G8" s="17" t="s">
        <v>10</v>
      </c>
    </row>
    <row r="9" spans="2:7" ht="12.75" customHeight="1" hidden="1">
      <c r="B9" s="17">
        <f>E7-B8</f>
        <v>731180</v>
      </c>
      <c r="C9" s="17">
        <f>(1999*10^-5*B12-8*10^-5*B12^2)*SIN(2*B16*PI()/180)</f>
        <v>0.00039769321650547996</v>
      </c>
      <c r="D9" s="17">
        <f>DEGREES(ATAN(COS(RADIANS(C14))*TAN(RADIANS(C16))))</f>
        <v>-17.396945509248916</v>
      </c>
      <c r="E9" s="17">
        <f>(0.01991*B12)*SIN(2*B16*PI()/180)</f>
        <v>0.0003961359560571169</v>
      </c>
      <c r="F9" s="17"/>
      <c r="G9" s="17"/>
    </row>
    <row r="10" spans="2:7" ht="12.75" customHeight="1" hidden="1">
      <c r="B10" s="19">
        <f>(B9+B7/24-730390.5)/36525</f>
        <v>0.02164092896798145</v>
      </c>
      <c r="C10" s="17">
        <f>C8+C9</f>
        <v>1.5983782695860822</v>
      </c>
      <c r="D10" s="17">
        <f>IF(COS(RADIANS(C16))&lt;0,180+D9,D9)</f>
        <v>-17.396945509248916</v>
      </c>
      <c r="E10" s="19">
        <f>F13/36525</f>
        <v>0.02164092896798145</v>
      </c>
      <c r="F10" s="19">
        <f>TRUNC(365.25*(G7+4712))+TRUNC(30.6*F7+0.5)+58.5+E6</f>
        <v>2452347.5</v>
      </c>
      <c r="G10" s="20">
        <f>DATE(G6,F6,E6)</f>
        <v>37316</v>
      </c>
    </row>
    <row r="11" spans="2:7" ht="12.75" customHeight="1" hidden="1">
      <c r="B11" s="17">
        <f>TRUNC(0.808*(B10-2)^2)*10^-8</f>
        <v>3.0000000000000004E-08</v>
      </c>
      <c r="C11" s="17">
        <f>(125.045-1934.136*B12)/360</f>
        <v>0.23107900607084508</v>
      </c>
      <c r="D11" s="17">
        <f>IF(COS(RADIANS(C14))-SIN(RADIANS(C16))&lt;0,360+D10,D10)</f>
        <v>-17.396945509248916</v>
      </c>
      <c r="E11" s="17"/>
      <c r="F11" s="19">
        <f>38-TRUNC(0.75*TRUNC(49+G7/100))</f>
        <v>-13</v>
      </c>
      <c r="G11" s="21">
        <f>TIME(B6,C6,D6)</f>
        <v>0.9349305555555555</v>
      </c>
    </row>
    <row r="12" spans="2:11" ht="12.75" customHeight="1" hidden="1">
      <c r="B12" s="17">
        <f>B11+B10</f>
        <v>0.02164095896798145</v>
      </c>
      <c r="C12" s="17">
        <f>360*(C11-TRUNC(C11))</f>
        <v>83.18844218550423</v>
      </c>
      <c r="D12" s="17">
        <f>100*B12</f>
        <v>2.164095896798145</v>
      </c>
      <c r="E12" s="17"/>
      <c r="F12" s="19">
        <f>F10+F11</f>
        <v>2452334.5</v>
      </c>
      <c r="I12" s="22"/>
      <c r="K12" s="23"/>
    </row>
    <row r="13" spans="2:7" ht="12.75" customHeight="1" hidden="1">
      <c r="B13" s="17">
        <f>(280.46607+(36000.7698*B12)+(3025*10^-7*B12^2))/360</f>
        <v>2.9432145894422668</v>
      </c>
      <c r="C13" s="17">
        <f>23.4393-0.13*B12-2*10^-7*B12^2+5*10^-7*B12^3</f>
        <v>23.43648667524556</v>
      </c>
      <c r="D13" s="17">
        <f>360*(D12-TRUNC(D12))+77/100*B12+388*10^-6*B12^2</f>
        <v>59.09118656745007</v>
      </c>
      <c r="E13" s="17"/>
      <c r="F13" s="19">
        <f>F12+B7/24-2451545</f>
        <v>790.4349305555224</v>
      </c>
      <c r="G13" s="24">
        <f>IF(B7&lt;=24,G10+G11,G10+1+G11)</f>
        <v>37316.93493055556</v>
      </c>
    </row>
    <row r="14" spans="2:9" ht="12.75" customHeight="1" hidden="1">
      <c r="B14" s="17">
        <f>(B13-TRUNC(B13))*360</f>
        <v>339.557252199216</v>
      </c>
      <c r="C14" s="17">
        <f>C13+26*10^-4*COS(RADIANS(C12))</f>
        <v>23.436795046344447</v>
      </c>
      <c r="D14" s="17">
        <f>100.4606+15*B7-48*10^-4*SIN(RADIANS(C12))*COS(RADIANS(C14))-D11+D13</f>
        <v>513.5193591647848</v>
      </c>
      <c r="E14" s="17"/>
      <c r="F14" s="17"/>
      <c r="G14" s="17"/>
      <c r="I14" s="25"/>
    </row>
    <row r="15" spans="2:7" ht="12.75" customHeight="1" hidden="1">
      <c r="B15" s="17">
        <f>(357.528+35999.05035*B12)/360</f>
        <v>3.1571721430851336</v>
      </c>
      <c r="C15" s="17">
        <f>(B14+C10-57*10^-4-(48*10^-4*SIN(RADIANS(C12))))/360</f>
        <v>0.9476254565252962</v>
      </c>
      <c r="D15" s="17">
        <f>IF(D14&lt;1,D14+360,D14)</f>
        <v>513.5193591647848</v>
      </c>
      <c r="E15" s="17"/>
      <c r="F15" s="17"/>
      <c r="G15" s="17"/>
    </row>
    <row r="16" spans="2:7" ht="12.75" customHeight="1" hidden="1">
      <c r="B16" s="17">
        <f>360*(B15-TRUNC(B15))</f>
        <v>56.5819715106481</v>
      </c>
      <c r="C16" s="17">
        <f>360*(C15-TRUNC(C15))</f>
        <v>341.1451643491066</v>
      </c>
      <c r="D16" s="17">
        <f>IF(D15&gt;360,D15-360,D15)</f>
        <v>153.51935916478476</v>
      </c>
      <c r="E16" s="26">
        <f>0.267/(1-(0.017*COS(RADIANS(B16))))</f>
        <v>0.26952345045962295</v>
      </c>
      <c r="F16" s="17"/>
      <c r="G16" s="17"/>
    </row>
    <row r="17" spans="2:7" ht="12.75" customHeight="1">
      <c r="B17" s="17"/>
      <c r="C17" s="17"/>
      <c r="D17" s="17"/>
      <c r="E17" s="17"/>
      <c r="F17" s="17"/>
      <c r="G17" s="17"/>
    </row>
    <row r="18" spans="2:7" ht="12.75" customHeight="1">
      <c r="B18" s="27" t="s">
        <v>11</v>
      </c>
      <c r="C18" s="28"/>
      <c r="D18" s="29" t="s">
        <v>12</v>
      </c>
      <c r="E18" s="30"/>
      <c r="F18" s="97" t="str">
        <f>IF(OR(YEAR(G13)&lt;&gt;G6,MONTH(G13)&lt;&gt;F6,DAY(G13)&lt;&gt;E6,HOUR(G13)&lt;&gt;B6,MINUTE(G13)&lt;&gt;C6,SECOND(G13)&lt;&gt;D6),"Erreur de date","")</f>
        <v>Erreur de date</v>
      </c>
      <c r="G18" s="97"/>
    </row>
    <row r="19" spans="2:7" ht="12.75" customHeight="1">
      <c r="B19" s="31">
        <f>TRUNC(D8)</f>
        <v>-7</v>
      </c>
      <c r="C19" s="32">
        <f>ABS(ROUND((D8-B19)*60,4))</f>
        <v>23.1047</v>
      </c>
      <c r="D19" s="33">
        <f>TRUNC(D16)</f>
        <v>153</v>
      </c>
      <c r="E19" s="34">
        <f>(D16-D19)*60</f>
        <v>31.161549887085584</v>
      </c>
      <c r="F19" s="98">
        <f>G13</f>
        <v>37316.93493055556</v>
      </c>
      <c r="G19" s="98"/>
    </row>
    <row r="20" spans="2:7" ht="12.75" customHeight="1">
      <c r="B20" s="17"/>
      <c r="C20" s="17"/>
      <c r="D20" s="17"/>
      <c r="E20" s="17"/>
      <c r="F20" s="17"/>
      <c r="G20" s="17"/>
    </row>
    <row r="21" spans="2:7" ht="12.75" customHeight="1">
      <c r="B21" s="99" t="s">
        <v>13</v>
      </c>
      <c r="C21" s="99"/>
      <c r="D21" s="99"/>
      <c r="E21" s="99"/>
      <c r="F21" s="35"/>
      <c r="G21" s="36"/>
    </row>
    <row r="22" spans="2:7" ht="12.75" customHeight="1">
      <c r="B22" s="37" t="s">
        <v>14</v>
      </c>
      <c r="C22" s="38" t="s">
        <v>15</v>
      </c>
      <c r="D22" s="37" t="s">
        <v>16</v>
      </c>
      <c r="E22" s="38" t="s">
        <v>17</v>
      </c>
      <c r="F22" s="39" t="s">
        <v>18</v>
      </c>
      <c r="G22" s="40"/>
    </row>
    <row r="23" spans="2:7" ht="12.75" customHeight="1">
      <c r="B23" s="41">
        <v>37</v>
      </c>
      <c r="C23" s="42">
        <v>30.1</v>
      </c>
      <c r="D23" s="43">
        <v>10</v>
      </c>
      <c r="E23" s="44">
        <v>14.8</v>
      </c>
      <c r="F23" s="45" t="s">
        <v>19</v>
      </c>
      <c r="G23" s="46"/>
    </row>
    <row r="24" spans="2:7" ht="12.75" customHeight="1">
      <c r="B24" s="47">
        <f>B23+C23/60</f>
        <v>37.501666666666665</v>
      </c>
      <c r="C24" s="46"/>
      <c r="D24" s="48">
        <f>D23+E23/60</f>
        <v>10.246666666666666</v>
      </c>
      <c r="E24" s="49"/>
      <c r="F24" s="17"/>
      <c r="G24" s="46"/>
    </row>
    <row r="25" spans="2:7" ht="12.75" customHeight="1">
      <c r="B25" s="50" t="s">
        <v>20</v>
      </c>
      <c r="C25" s="51"/>
      <c r="D25" s="52" t="s">
        <v>21</v>
      </c>
      <c r="E25" s="53"/>
      <c r="F25" s="52" t="s">
        <v>22</v>
      </c>
      <c r="G25" s="53"/>
    </row>
    <row r="26" spans="2:7" ht="12.75" customHeight="1">
      <c r="B26" s="50"/>
      <c r="C26" s="51"/>
      <c r="D26" s="54">
        <f>D16-D24</f>
        <v>143.2726924981181</v>
      </c>
      <c r="E26" s="55"/>
      <c r="F26" s="54">
        <f>DEGREES(ASIN(COS(RADIANS(D26))*COS(RADIANS(B24))*COS(RADIANS(D8))+SIN(RADIANS(B24))*SIN(RADIANS(D8))))</f>
        <v>-45.13964577165699</v>
      </c>
      <c r="G26" s="55"/>
    </row>
    <row r="27" spans="2:7" ht="12.75" customHeight="1">
      <c r="B27" s="56" t="s">
        <v>23</v>
      </c>
      <c r="C27" s="57"/>
      <c r="D27" s="31">
        <f>TRUNC(D26)</f>
        <v>143</v>
      </c>
      <c r="E27" s="58">
        <f>(D26-D27)*60</f>
        <v>16.361549887085403</v>
      </c>
      <c r="F27" s="31" t="str">
        <f>IF(TRUNC(F26)&gt;0,TRUNC(F26),"     NUIT")</f>
        <v>     NUIT</v>
      </c>
      <c r="G27" s="58" t="e">
        <f>(F26-F27)*60</f>
        <v>#VALUE!</v>
      </c>
    </row>
    <row r="28" spans="2:7" ht="12.75" customHeight="1">
      <c r="B28" s="17"/>
      <c r="C28" s="17"/>
      <c r="D28" s="17"/>
      <c r="E28" s="17"/>
      <c r="F28" s="17"/>
      <c r="G28" s="17"/>
    </row>
    <row r="29" spans="2:7" ht="12.75" customHeight="1">
      <c r="B29" s="59" t="s">
        <v>24</v>
      </c>
      <c r="C29" s="5"/>
      <c r="D29" s="5"/>
      <c r="E29" s="35"/>
      <c r="F29" s="35"/>
      <c r="G29" s="36"/>
    </row>
    <row r="30" spans="2:7" ht="12.75" customHeight="1">
      <c r="B30" s="60" t="s">
        <v>25</v>
      </c>
      <c r="C30" s="61" t="s">
        <v>5</v>
      </c>
      <c r="D30" s="62" t="s">
        <v>26</v>
      </c>
      <c r="E30" s="36"/>
      <c r="F30" s="29" t="s">
        <v>27</v>
      </c>
      <c r="G30" s="30"/>
    </row>
    <row r="31" spans="2:9" ht="12.75" customHeight="1">
      <c r="B31" s="63">
        <v>45</v>
      </c>
      <c r="C31" s="64">
        <v>40</v>
      </c>
      <c r="D31" s="65">
        <v>2</v>
      </c>
      <c r="E31" s="66"/>
      <c r="F31" s="33">
        <f>TRUNC(F32)</f>
        <v>45</v>
      </c>
      <c r="G31" s="58">
        <f>(F32-F31)*60</f>
        <v>52.66350415833841</v>
      </c>
      <c r="I31" t="s">
        <v>28</v>
      </c>
    </row>
    <row r="32" spans="2:7" ht="12.75" customHeight="1" hidden="1">
      <c r="B32" s="17">
        <f>B31+C31/60</f>
        <v>45.666666666666664</v>
      </c>
      <c r="C32" s="17">
        <f>B32-293*10^-4*SQRT(D31)</f>
        <v>45.625230209289136</v>
      </c>
      <c r="D32" s="17"/>
      <c r="E32" s="17"/>
      <c r="F32" s="17">
        <f>C32-162*10^-4*TAN(RADIANS(90-C32))+4/15+24*10^-4*COS(RADIANS(C32))</f>
        <v>45.87772506930564</v>
      </c>
      <c r="G32" s="17"/>
    </row>
    <row r="33" spans="2:7" ht="12.75" customHeight="1" hidden="1">
      <c r="B33" s="19">
        <f>-DEGREES(ASIN(SIN(RADIANS(D26))*COS(RADIANS(D8))/COS(RADIANS(F26))))</f>
        <v>-57.218989056725206</v>
      </c>
      <c r="C33" s="19">
        <f>IF(SIN(RADIANS(D8))-(SIN(RADIANS(F26))*SIN(RADIANS(B24)))&lt;0,180-B33,B33)</f>
        <v>-57.218989056725206</v>
      </c>
      <c r="D33" s="67">
        <f>ACOS((SIN(D8/180*PI())-(SIN(B24/180*PI())*SIN(F26/180*PI())))/(COS(B24/180*PI())*COS(F26/180*PI())))/PI()*180</f>
        <v>57.218989056725164</v>
      </c>
      <c r="E33" s="67">
        <f>IF(SIN(RADIANS(D26))&lt;0,D33,-D33)</f>
        <v>-57.218989056725164</v>
      </c>
      <c r="F33" s="17">
        <f>(F32-F26)*60</f>
        <v>5461.042250457757</v>
      </c>
      <c r="G33" s="68" t="e">
        <f>G31-G27</f>
        <v>#VALUE!</v>
      </c>
    </row>
    <row r="34" spans="2:7" ht="12.75" customHeight="1" hidden="1">
      <c r="B34" s="17"/>
      <c r="C34" s="69" t="s">
        <v>29</v>
      </c>
      <c r="D34" s="69" t="s">
        <v>30</v>
      </c>
      <c r="E34" s="70"/>
      <c r="F34" s="17"/>
      <c r="G34" s="68"/>
    </row>
    <row r="35" spans="2:7" ht="12.75" customHeight="1" hidden="1">
      <c r="B35" s="71" t="e">
        <f>IF(B33&lt;G33,-1*B33,B33)</f>
        <v>#VALUE!</v>
      </c>
      <c r="C35" s="72">
        <f>180-B33</f>
        <v>237.2189890567252</v>
      </c>
      <c r="D35" s="73">
        <f>180+B33</f>
        <v>122.7810109432748</v>
      </c>
      <c r="E35" s="70"/>
      <c r="F35" s="17"/>
      <c r="G35" s="68"/>
    </row>
    <row r="36" spans="2:7" ht="12.75" customHeight="1">
      <c r="B36" s="17"/>
      <c r="C36" s="17"/>
      <c r="D36" s="17"/>
      <c r="E36" s="17"/>
      <c r="F36" s="17"/>
      <c r="G36" s="17"/>
    </row>
    <row r="37" spans="2:6" ht="12.75" customHeight="1">
      <c r="B37" s="74" t="s">
        <v>31</v>
      </c>
      <c r="C37" s="35"/>
      <c r="D37" s="100" t="s">
        <v>32</v>
      </c>
      <c r="E37" s="100"/>
      <c r="F37" s="75" t="s">
        <v>33</v>
      </c>
    </row>
    <row r="38" spans="2:6" ht="12.75" customHeight="1">
      <c r="B38" s="76" t="str">
        <f>IF(F33&gt;0," vers l'astre"," en deça de l'astre")</f>
        <v> vers l'astre</v>
      </c>
      <c r="C38" s="17"/>
      <c r="D38" s="77">
        <f>TRUNC(E33)</f>
        <v>-57</v>
      </c>
      <c r="E38" s="78">
        <f>ROUND((E33-D38)*60,2)</f>
        <v>-13.14</v>
      </c>
      <c r="F38" s="51">
        <f>SIN(E33/180*PI())</f>
        <v>-0.8407460911094132</v>
      </c>
    </row>
    <row r="39" spans="2:6" ht="28.5" customHeight="1">
      <c r="B39" s="79" t="str">
        <f>IF(ABS(F33)&lt;30,ABS(F33),"INV.")</f>
        <v>INV.</v>
      </c>
      <c r="C39" s="80" t="s">
        <v>34</v>
      </c>
      <c r="D39" s="81" t="s">
        <v>35</v>
      </c>
      <c r="E39" s="82">
        <f>IF(D38&lt;0,(ROUND((360+D38),0)),ROUND((D38+E38/60),0))</f>
        <v>303</v>
      </c>
      <c r="F39" s="83" t="s">
        <v>25</v>
      </c>
    </row>
    <row r="40" spans="2:6" ht="12.75" customHeight="1">
      <c r="B40" s="84"/>
      <c r="C40" s="85"/>
      <c r="D40" s="85"/>
      <c r="E40" s="85"/>
      <c r="F40" s="66"/>
    </row>
    <row r="41" spans="2:6" ht="12.75" customHeight="1">
      <c r="B41" s="86" t="s">
        <v>36</v>
      </c>
      <c r="C41" s="95" t="str">
        <f>IF(ISTEXT(B39),"lat. INVALIDE","Latitude")</f>
        <v>lat. INVALIDE</v>
      </c>
      <c r="D41" s="95"/>
      <c r="E41" s="96" t="str">
        <f>IF(ISTEXT(B39),"lonG. INVALIDE","lonGitude")</f>
        <v>lonG. INVALIDE</v>
      </c>
      <c r="F41" s="96"/>
    </row>
    <row r="42" spans="2:6" ht="12.75" customHeight="1">
      <c r="B42" s="87" t="s">
        <v>37</v>
      </c>
      <c r="C42" s="88">
        <f>TRUNC(B43)</f>
        <v>86</v>
      </c>
      <c r="D42" s="89">
        <f>(B43-C42)*60</f>
        <v>46.86991382531005</v>
      </c>
      <c r="E42" s="88">
        <f>TRUNC(D43)</f>
        <v>5</v>
      </c>
      <c r="F42" s="90">
        <f>(D43-E42)*60</f>
        <v>56.996995764490904</v>
      </c>
    </row>
    <row r="43" spans="1:5" ht="12.75" customHeight="1" hidden="1">
      <c r="A43" s="81"/>
      <c r="B43" s="91">
        <f>B24+ABS(F33)*COS(RADIANS(C33))/60</f>
        <v>86.78116523042183</v>
      </c>
      <c r="C43" s="92"/>
      <c r="D43" s="93">
        <f>D24+(ABS(F33)*SIN(RADIANS(C33))*COS(RADIANS(B43)))/60</f>
        <v>5.949949929408182</v>
      </c>
      <c r="E43" s="66"/>
    </row>
    <row r="44" ht="12.75" customHeight="1"/>
    <row r="45" ht="12.75" customHeight="1"/>
    <row r="46" ht="12.75" customHeight="1"/>
    <row r="47" ht="12.75" customHeight="1"/>
    <row r="52" ht="12.75">
      <c r="T52" s="94">
        <v>40314</v>
      </c>
    </row>
  </sheetData>
  <mergeCells count="6">
    <mergeCell ref="C41:D41"/>
    <mergeCell ref="E41:F41"/>
    <mergeCell ref="F18:G18"/>
    <mergeCell ref="F19:G19"/>
    <mergeCell ref="B21:E21"/>
    <mergeCell ref="D37:E37"/>
  </mergeCells>
  <conditionalFormatting sqref="F27">
    <cfRule type="cellIs" priority="1" dxfId="0" operator="equal" stopIfTrue="1">
      <formula>"     NUIT"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 BRETON</cp:lastModifiedBy>
  <dcterms:modified xsi:type="dcterms:W3CDTF">2010-11-17T09:03:30Z</dcterms:modified>
  <cp:category/>
  <cp:version/>
  <cp:contentType/>
  <cp:contentStatus/>
</cp:coreProperties>
</file>